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111111\Excel模板\7\"/>
    </mc:Choice>
  </mc:AlternateContent>
  <xr:revisionPtr revIDLastSave="0" documentId="13_ncr:1_{6F076A5D-22B4-4531-A9B1-6BB96E710272}" xr6:coauthVersionLast="45" xr6:coauthVersionMax="45" xr10:uidLastSave="{00000000-0000-0000-0000-000000000000}"/>
  <bookViews>
    <workbookView xWindow="-120" yWindow="-120" windowWidth="29040" windowHeight="15840" tabRatio="844" xr2:uid="{00000000-000D-0000-FFFF-FFFF00000000}"/>
  </bookViews>
  <sheets>
    <sheet name="202102" sheetId="34" r:id="rId1"/>
    <sheet name="202103" sheetId="35" r:id="rId2"/>
  </sheets>
  <definedNames>
    <definedName name="_xlnm.Print_Area" localSheetId="0">'202102'!$A$1:$N$24</definedName>
    <definedName name="_xlnm.Print_Area" localSheetId="1">'202103'!$A$1:$N$24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35" l="1"/>
  <c r="L20" i="35"/>
  <c r="J20" i="35"/>
  <c r="H20" i="35"/>
  <c r="L19" i="35"/>
  <c r="J19" i="35"/>
  <c r="L18" i="35"/>
  <c r="K18" i="35"/>
  <c r="J18" i="35"/>
  <c r="G18" i="35"/>
  <c r="L17" i="35"/>
  <c r="K17" i="35"/>
  <c r="J17" i="35"/>
  <c r="G17" i="35"/>
  <c r="L16" i="35"/>
  <c r="K16" i="35"/>
  <c r="J16" i="35"/>
  <c r="L15" i="35"/>
  <c r="J15" i="35"/>
  <c r="K15" i="35" s="1"/>
  <c r="G15" i="35"/>
  <c r="H12" i="35"/>
  <c r="H22" i="35" s="1"/>
  <c r="L11" i="35"/>
  <c r="K11" i="35" s="1"/>
  <c r="J11" i="35"/>
  <c r="G11" i="35"/>
  <c r="L10" i="35"/>
  <c r="J10" i="35"/>
  <c r="G10" i="35"/>
  <c r="L9" i="35"/>
  <c r="K9" i="35" s="1"/>
  <c r="J9" i="35"/>
  <c r="G9" i="35"/>
  <c r="L8" i="35"/>
  <c r="J8" i="35"/>
  <c r="G8" i="35"/>
  <c r="L7" i="35"/>
  <c r="J7" i="35"/>
  <c r="K7" i="35" s="1"/>
  <c r="G7" i="35"/>
  <c r="L6" i="35"/>
  <c r="M6" i="35" s="1"/>
  <c r="N6" i="35" s="1"/>
  <c r="K6" i="35"/>
  <c r="J6" i="35"/>
  <c r="G6" i="35"/>
  <c r="L5" i="35"/>
  <c r="M5" i="35" s="1"/>
  <c r="J5" i="35"/>
  <c r="S6" i="35" s="1"/>
  <c r="S7" i="35" s="1"/>
  <c r="G5" i="35"/>
  <c r="L20" i="34"/>
  <c r="M20" i="34" s="1"/>
  <c r="N20" i="34" s="1"/>
  <c r="K20" i="34"/>
  <c r="J20" i="34"/>
  <c r="H20" i="34"/>
  <c r="H21" i="34" s="1"/>
  <c r="H22" i="34" s="1"/>
  <c r="L19" i="34"/>
  <c r="K19" i="34" s="1"/>
  <c r="J19" i="34"/>
  <c r="L18" i="34"/>
  <c r="J18" i="34"/>
  <c r="K18" i="34" s="1"/>
  <c r="M18" i="34" s="1"/>
  <c r="N18" i="34" s="1"/>
  <c r="G18" i="34"/>
  <c r="M17" i="34"/>
  <c r="N17" i="34" s="1"/>
  <c r="L17" i="34"/>
  <c r="K17" i="34"/>
  <c r="J17" i="34"/>
  <c r="G17" i="34"/>
  <c r="M16" i="34"/>
  <c r="N16" i="34" s="1"/>
  <c r="L16" i="34"/>
  <c r="K16" i="34"/>
  <c r="J16" i="34"/>
  <c r="L15" i="34"/>
  <c r="J15" i="34"/>
  <c r="G15" i="34"/>
  <c r="H12" i="34"/>
  <c r="L11" i="34"/>
  <c r="J11" i="34"/>
  <c r="K11" i="34" s="1"/>
  <c r="M11" i="34" s="1"/>
  <c r="N11" i="34" s="1"/>
  <c r="G11" i="34"/>
  <c r="L10" i="34"/>
  <c r="M10" i="34" s="1"/>
  <c r="N10" i="34" s="1"/>
  <c r="J10" i="34"/>
  <c r="K10" i="34" s="1"/>
  <c r="G10" i="34"/>
  <c r="M9" i="34"/>
  <c r="N9" i="34" s="1"/>
  <c r="L9" i="34"/>
  <c r="K9" i="34"/>
  <c r="J9" i="34"/>
  <c r="G9" i="34"/>
  <c r="L8" i="34"/>
  <c r="K8" i="34"/>
  <c r="J8" i="34"/>
  <c r="G8" i="34"/>
  <c r="L7" i="34"/>
  <c r="J7" i="34"/>
  <c r="G7" i="34"/>
  <c r="L6" i="34"/>
  <c r="J6" i="34"/>
  <c r="K6" i="34" s="1"/>
  <c r="M6" i="34" s="1"/>
  <c r="N6" i="34" s="1"/>
  <c r="G6" i="34"/>
  <c r="L5" i="34"/>
  <c r="K5" i="34" s="1"/>
  <c r="J5" i="34"/>
  <c r="S6" i="34" s="1"/>
  <c r="S7" i="34" s="1"/>
  <c r="G5" i="34"/>
  <c r="M7" i="35" l="1"/>
  <c r="N7" i="35" s="1"/>
  <c r="N8" i="34"/>
  <c r="S8" i="34"/>
  <c r="S5" i="34"/>
  <c r="M5" i="34"/>
  <c r="K7" i="34"/>
  <c r="K12" i="34" s="1"/>
  <c r="K15" i="34"/>
  <c r="K21" i="34" s="1"/>
  <c r="M19" i="34"/>
  <c r="N19" i="34" s="1"/>
  <c r="M9" i="35"/>
  <c r="N9" i="35" s="1"/>
  <c r="M11" i="35"/>
  <c r="N11" i="35" s="1"/>
  <c r="K20" i="35"/>
  <c r="M20" i="35"/>
  <c r="N20" i="35" s="1"/>
  <c r="K8" i="35"/>
  <c r="M16" i="35"/>
  <c r="N16" i="35" s="1"/>
  <c r="M18" i="35"/>
  <c r="N18" i="35" s="1"/>
  <c r="K10" i="35"/>
  <c r="M10" i="35" s="1"/>
  <c r="N10" i="35" s="1"/>
  <c r="M8" i="35"/>
  <c r="N8" i="35" s="1"/>
  <c r="K5" i="35"/>
  <c r="K19" i="35"/>
  <c r="K21" i="35" s="1"/>
  <c r="M19" i="35"/>
  <c r="N19" i="35" s="1"/>
  <c r="M8" i="34"/>
  <c r="N5" i="35"/>
  <c r="M17" i="35"/>
  <c r="N17" i="35" s="1"/>
  <c r="M15" i="35"/>
  <c r="N15" i="35" s="1"/>
  <c r="N21" i="35" s="1"/>
  <c r="S5" i="35" l="1"/>
  <c r="K12" i="35"/>
  <c r="K22" i="35" s="1"/>
  <c r="M12" i="35"/>
  <c r="N5" i="34"/>
  <c r="S8" i="35"/>
  <c r="M21" i="35"/>
  <c r="M22" i="35" s="1"/>
  <c r="M15" i="34"/>
  <c r="M7" i="34"/>
  <c r="N7" i="34" s="1"/>
  <c r="K22" i="34"/>
  <c r="N12" i="35"/>
  <c r="N22" i="35" s="1"/>
  <c r="M21" i="34" l="1"/>
  <c r="N15" i="34"/>
  <c r="N21" i="34" s="1"/>
  <c r="N12" i="34"/>
  <c r="M12" i="34"/>
  <c r="N22" i="34" l="1"/>
  <c r="M22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微软用户</author>
  </authors>
  <commentList>
    <comment ref="A3" authorId="0" shapeId="0" xr:uid="{00000000-0006-0000-0000-000001000000}">
      <text>
        <r>
          <rPr>
            <b/>
            <sz val="9"/>
            <rFont val="宋体"/>
            <family val="3"/>
            <charset val="134"/>
            <scheme val="minor"/>
          </rPr>
          <t>说明:
2014.3.13完善 月折旧额、折旧期、累计折旧公式。
主要是修正最后一期公式以及折旧期满之后的公式。
另外注意：
使用年限 在数字后面必须加一个 “年” 字。 比如 10年，而不要只写个 10 。</t>
        </r>
        <r>
          <rPr>
            <sz val="9"/>
            <rFont val="宋体"/>
            <family val="3"/>
            <charset val="134"/>
            <scheme val="minor"/>
          </rPr>
          <t xml:space="preserve">
每月折旧仅需移动复制表格，修改月份。
增加新的固定资产，拉动公式即可。
蓝色的部分数据需要录入，其他部分自动。
</t>
        </r>
        <r>
          <rPr>
            <sz val="9"/>
            <color indexed="10"/>
            <rFont val="宋体"/>
            <family val="3"/>
            <charset val="134"/>
            <scheme val="minor"/>
          </rPr>
          <t>表格最关键公式为折旧期的计算。</t>
        </r>
        <r>
          <rPr>
            <sz val="9"/>
            <rFont val="宋体"/>
            <family val="3"/>
            <charset val="134"/>
            <scheme val="minor"/>
          </rPr>
          <t xml:space="preserve">
此表格可以修改为待摊费用，长期待摊费用表格，原理相同。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微软用户</author>
  </authors>
  <commentList>
    <comment ref="A3" authorId="0" shapeId="0" xr:uid="{00000000-0006-0000-0100-000001000000}">
      <text>
        <r>
          <rPr>
            <b/>
            <sz val="9"/>
            <rFont val="宋体"/>
            <family val="3"/>
            <charset val="134"/>
            <scheme val="minor"/>
          </rPr>
          <t>说明:
2014.3.13完善 月折旧额、折旧期、累计折旧公式。
主要是修正最后一期公式以及折旧期满之后的公式。
另外注意：
使用年限 在数字后面必须加一个 “年” 字。 比如 10年，而不要只写个 10 。</t>
        </r>
        <r>
          <rPr>
            <sz val="9"/>
            <rFont val="宋体"/>
            <family val="3"/>
            <charset val="134"/>
            <scheme val="minor"/>
          </rPr>
          <t xml:space="preserve">
每月折旧仅需移动复制表格，修改月份。
增加新的固定资产，拉动公式即可。
蓝色的部分数据需要录入，其他部分自动。
</t>
        </r>
        <r>
          <rPr>
            <sz val="9"/>
            <color indexed="10"/>
            <rFont val="宋体"/>
            <family val="3"/>
            <charset val="134"/>
            <scheme val="minor"/>
          </rPr>
          <t>表格最关键公式为折旧期的计算。</t>
        </r>
        <r>
          <rPr>
            <sz val="9"/>
            <rFont val="宋体"/>
            <family val="3"/>
            <charset val="134"/>
            <scheme val="minor"/>
          </rPr>
          <t xml:space="preserve">
此表格可以修改为待摊费用，长期待摊费用表格，原理相同。</t>
        </r>
      </text>
    </comment>
  </commentList>
</comments>
</file>

<file path=xl/sharedStrings.xml><?xml version="1.0" encoding="utf-8"?>
<sst xmlns="http://schemas.openxmlformats.org/spreadsheetml/2006/main" count="150" uniqueCount="40">
  <si>
    <t>固定资产明细表（测试数据）</t>
  </si>
  <si>
    <t>机器设备</t>
  </si>
  <si>
    <t>名称</t>
  </si>
  <si>
    <t>购入日期</t>
  </si>
  <si>
    <t>单位</t>
  </si>
  <si>
    <t>数量</t>
  </si>
  <si>
    <t>使用年限</t>
  </si>
  <si>
    <t>单价</t>
  </si>
  <si>
    <t>原值</t>
  </si>
  <si>
    <t>残值率</t>
  </si>
  <si>
    <t>月折旧率</t>
  </si>
  <si>
    <t>月折旧额</t>
  </si>
  <si>
    <t>折旧期</t>
  </si>
  <si>
    <t>累计折旧</t>
  </si>
  <si>
    <t>净值</t>
  </si>
  <si>
    <t>车床XXXX</t>
  </si>
  <si>
    <t>台</t>
  </si>
  <si>
    <t>10年</t>
  </si>
  <si>
    <t>机床XXX</t>
  </si>
  <si>
    <t>针车XXXXX</t>
  </si>
  <si>
    <t>AAAA</t>
  </si>
  <si>
    <t>BBBBBBB</t>
  </si>
  <si>
    <t>CCCCCCC</t>
  </si>
  <si>
    <t>20年</t>
  </si>
  <si>
    <t>DDDDDDD</t>
  </si>
  <si>
    <t>合计</t>
  </si>
  <si>
    <t>办公设备</t>
  </si>
  <si>
    <t>电脑</t>
  </si>
  <si>
    <t>5年</t>
  </si>
  <si>
    <t>办公桌</t>
  </si>
  <si>
    <t>套</t>
  </si>
  <si>
    <t>空调</t>
  </si>
  <si>
    <t>打印机</t>
  </si>
  <si>
    <t>传真件</t>
  </si>
  <si>
    <t>金税卡</t>
  </si>
  <si>
    <t>总              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</si>
  <si>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</si>
  <si>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复核：</t>
  </si>
  <si>
    <t>XX市XX税务代理事务所（XXX设置）</t>
    <phoneticPr fontId="5" type="noConversion"/>
  </si>
  <si>
    <t>制表：孙XX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</si>
</sst>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_);[Red]\(0\)"/>
    <numFmt numFmtId="179" formatCode="0.00_);[Red]\(0.00\)"/>
    <numFmt numFmtId="180" formatCode="#,##0.00_);[Red]\(#,##0.00\)"/>
    <numFmt numFmtId="181" formatCode="0.00_ "/>
  </numFmts>
  <fonts count="12" x14ac:knownFonts="1">
    <font>
      <sz val="12"/>
      <name val="宋体"/>
      <charset val="134"/>
    </font>
    <font>
      <sz val="13"/>
      <name val="宋体"/>
      <charset val="134"/>
    </font>
    <font>
      <sz val="10"/>
      <name val="宋体"/>
      <charset val="134"/>
      <scheme val="major"/>
    </font>
    <font>
      <sz val="12"/>
      <name val="黑体"/>
      <family val="3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3"/>
      <name val="宋体"/>
      <family val="3"/>
      <charset val="134"/>
      <scheme val="minor"/>
    </font>
    <font>
      <b/>
      <sz val="1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179" fontId="0" fillId="0" borderId="0" xfId="0" applyNumberFormat="1"/>
    <xf numFmtId="178" fontId="0" fillId="0" borderId="0" xfId="0" applyNumberFormat="1"/>
    <xf numFmtId="0" fontId="2" fillId="0" borderId="0" xfId="2" applyFont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179" fontId="2" fillId="0" borderId="0" xfId="2" applyNumberFormat="1" applyFont="1" applyFill="1" applyBorder="1"/>
    <xf numFmtId="180" fontId="2" fillId="0" borderId="0" xfId="2" applyNumberFormat="1" applyFont="1" applyFill="1" applyBorder="1"/>
    <xf numFmtId="180" fontId="2" fillId="0" borderId="0" xfId="2" applyNumberFormat="1" applyFont="1" applyBorder="1"/>
    <xf numFmtId="178" fontId="2" fillId="0" borderId="0" xfId="2" applyNumberFormat="1" applyFont="1" applyBorder="1"/>
    <xf numFmtId="181" fontId="0" fillId="0" borderId="0" xfId="0" applyNumberFormat="1"/>
    <xf numFmtId="180" fontId="0" fillId="0" borderId="0" xfId="0" applyNumberFormat="1"/>
    <xf numFmtId="0" fontId="6" fillId="0" borderId="0" xfId="2" applyFont="1" applyAlignment="1">
      <alignment horizontal="center"/>
    </xf>
    <xf numFmtId="57" fontId="7" fillId="0" borderId="0" xfId="2" applyNumberFormat="1" applyFont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79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78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14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right"/>
    </xf>
    <xf numFmtId="180" fontId="8" fillId="0" borderId="1" xfId="2" applyNumberFormat="1" applyFont="1" applyBorder="1" applyAlignment="1">
      <alignment horizontal="right"/>
    </xf>
    <xf numFmtId="9" fontId="8" fillId="0" borderId="1" xfId="1" applyFont="1" applyBorder="1" applyAlignment="1">
      <alignment horizontal="right"/>
    </xf>
    <xf numFmtId="10" fontId="8" fillId="0" borderId="1" xfId="1" applyNumberFormat="1" applyFont="1" applyBorder="1" applyAlignment="1">
      <alignment horizontal="right"/>
    </xf>
    <xf numFmtId="178" fontId="8" fillId="0" borderId="1" xfId="2" applyNumberFormat="1" applyFont="1" applyBorder="1" applyAlignment="1">
      <alignment horizontal="right"/>
    </xf>
    <xf numFmtId="0" fontId="8" fillId="0" borderId="1" xfId="2" applyFont="1" applyBorder="1"/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/>
    <xf numFmtId="179" fontId="8" fillId="0" borderId="1" xfId="2" applyNumberFormat="1" applyFont="1" applyFill="1" applyBorder="1"/>
    <xf numFmtId="180" fontId="8" fillId="0" borderId="1" xfId="2" applyNumberFormat="1" applyFont="1" applyFill="1" applyBorder="1" applyAlignment="1">
      <alignment horizontal="right"/>
    </xf>
    <xf numFmtId="0" fontId="8" fillId="0" borderId="2" xfId="2" applyFont="1" applyBorder="1" applyAlignment="1">
      <alignment horizontal="center"/>
    </xf>
    <xf numFmtId="0" fontId="8" fillId="0" borderId="2" xfId="2" applyFont="1" applyFill="1" applyBorder="1"/>
    <xf numFmtId="0" fontId="8" fillId="0" borderId="2" xfId="2" applyFont="1" applyFill="1" applyBorder="1" applyAlignment="1">
      <alignment horizontal="center"/>
    </xf>
    <xf numFmtId="179" fontId="8" fillId="0" borderId="2" xfId="2" applyNumberFormat="1" applyFont="1" applyFill="1" applyBorder="1"/>
    <xf numFmtId="180" fontId="8" fillId="0" borderId="2" xfId="2" applyNumberFormat="1" applyFont="1" applyFill="1" applyBorder="1" applyAlignment="1">
      <alignment horizontal="right"/>
    </xf>
    <xf numFmtId="0" fontId="8" fillId="0" borderId="0" xfId="0" applyFont="1"/>
    <xf numFmtId="179" fontId="8" fillId="0" borderId="0" xfId="0" applyNumberFormat="1" applyFont="1"/>
    <xf numFmtId="178" fontId="8" fillId="0" borderId="0" xfId="0" applyNumberFormat="1" applyFont="1"/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3">
    <cellStyle name="百分比" xfId="1" builtinId="5"/>
    <cellStyle name="常规" xfId="0" builtinId="0"/>
    <cellStyle name="常规_固定资产清单-1" xfId="2" xr:uid="{00000000-0005-0000-0000-000023000000}"/>
  </cellStyles>
  <dxfs count="0"/>
  <tableStyles count="0" defaultTableStyle="TableStyleMedium2" defaultPivotStyle="PivotStyleLight16"/>
  <colors>
    <mruColors>
      <color rgb="FF99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457835</xdr:colOff>
      <xdr:row>0</xdr:row>
      <xdr:rowOff>76200</xdr:rowOff>
    </xdr:from>
    <xdr:to>
      <xdr:col>12</xdr:col>
      <xdr:colOff>811545</xdr:colOff>
      <xdr:row>2</xdr:row>
      <xdr:rowOff>104775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8695" y="76200"/>
          <a:ext cx="22891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/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自己修改一下月份，观察一下数据。</a:t>
          </a:r>
        </a:p>
      </xdr:txBody>
    </xdr:sp>
    <xdr:clientData/>
  </xdr:twoCellAnchor>
  <xdr:twoCellAnchor>
    <xdr:from>
      <xdr:col>8</xdr:col>
      <xdr:colOff>274320</xdr:colOff>
      <xdr:row>0</xdr:row>
      <xdr:rowOff>220345</xdr:rowOff>
    </xdr:from>
    <xdr:to>
      <xdr:col>10</xdr:col>
      <xdr:colOff>457200</xdr:colOff>
      <xdr:row>2</xdr:row>
      <xdr:rowOff>99060</xdr:rowOff>
    </xdr:to>
    <xdr:sp macro="" textlink="">
      <xdr:nvSpPr>
        <xdr:cNvPr id="1047" name="Lin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 flipH="1">
          <a:off x="6156960" y="220345"/>
          <a:ext cx="1181100" cy="33591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4"/>
  <sheetViews>
    <sheetView tabSelected="1" workbookViewId="0">
      <selection activeCell="M29" sqref="M29"/>
    </sheetView>
  </sheetViews>
  <sheetFormatPr defaultColWidth="8.75" defaultRowHeight="14.25" x14ac:dyDescent="0.15"/>
  <cols>
    <col min="1" max="1" width="7.75" customWidth="1"/>
    <col min="2" max="2" width="16" customWidth="1"/>
    <col min="3" max="3" width="9.25" customWidth="1"/>
    <col min="4" max="4" width="5.625" customWidth="1"/>
    <col min="5" max="5" width="5.75" customWidth="1"/>
    <col min="6" max="6" width="8.625" customWidth="1"/>
    <col min="7" max="7" width="10.75" style="2" customWidth="1"/>
    <col min="8" max="8" width="13.75" customWidth="1"/>
    <col min="9" max="9" width="5.75" customWidth="1"/>
    <col min="10" max="10" width="7.375" customWidth="1"/>
    <col min="11" max="11" width="15.375" customWidth="1"/>
    <col min="12" max="12" width="10" style="3" customWidth="1"/>
    <col min="13" max="13" width="18.5" customWidth="1"/>
    <col min="14" max="14" width="13.625" customWidth="1"/>
    <col min="19" max="19" width="13.25" customWidth="1"/>
  </cols>
  <sheetData>
    <row r="1" spans="1:19" s="1" customFormat="1" ht="18" customHeight="1" x14ac:dyDescent="0.1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9" s="1" customFormat="1" ht="18" customHeight="1" x14ac:dyDescent="0.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9" s="1" customFormat="1" ht="18" customHeight="1" x14ac:dyDescent="0.15">
      <c r="A3" s="14">
        <v>44228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9" ht="18" customHeight="1" x14ac:dyDescent="0.1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5" t="s">
        <v>8</v>
      </c>
      <c r="I4" s="15" t="s">
        <v>9</v>
      </c>
      <c r="J4" s="17" t="s">
        <v>10</v>
      </c>
      <c r="K4" s="17" t="s">
        <v>11</v>
      </c>
      <c r="L4" s="18" t="s">
        <v>12</v>
      </c>
      <c r="M4" s="17" t="s">
        <v>13</v>
      </c>
      <c r="N4" s="17" t="s">
        <v>14</v>
      </c>
    </row>
    <row r="5" spans="1:19" ht="18" customHeight="1" x14ac:dyDescent="0.15">
      <c r="A5" s="17">
        <v>1</v>
      </c>
      <c r="B5" s="19" t="s">
        <v>15</v>
      </c>
      <c r="C5" s="20">
        <v>40614</v>
      </c>
      <c r="D5" s="17" t="s">
        <v>16</v>
      </c>
      <c r="E5" s="21">
        <v>1</v>
      </c>
      <c r="F5" s="17" t="s">
        <v>17</v>
      </c>
      <c r="G5" s="22">
        <f t="shared" ref="G5:G11" si="0">ROUND(H5/E5,2)</f>
        <v>100000</v>
      </c>
      <c r="H5" s="23">
        <v>100000</v>
      </c>
      <c r="I5" s="24">
        <v>0.05</v>
      </c>
      <c r="J5" s="25">
        <f t="shared" ref="J5:J11" si="1">(1-I5)/LEFT(F5,LEN(F5)-1)/12</f>
        <v>7.9166666666666673E-3</v>
      </c>
      <c r="K5" s="23">
        <f>IF(L5=0,0,IF(LEFT(F5,LEN(F5)-1)*12=L5,(ROUND(H5*(1-I5),2)-ROUND(ROUND(H5*J5,2)*(L5-1),2)),IF(L5="折旧期满",0,ROUND(J5*H5,2))))</f>
        <v>791.67</v>
      </c>
      <c r="L5" s="26">
        <f>IF(MONTH($A$3)+(YEAR($A$3)-YEAR(C5))*12-MONTH(C5)&lt;0,"无",IF(MONTH($A$3)+(YEAR($A$3)-YEAR(C5))*12-MONTH(C5)&gt;12*LEFT(F5,LEN(F5)-1),"折旧期满",MONTH($A$3)+(YEAR($A$3)-YEAR(C5))*12-MONTH(C5)))</f>
        <v>119</v>
      </c>
      <c r="M5" s="23">
        <f>IF(OR(L5="折旧期满",L5=LEFT(F5,LEN(F5)-1)*12),ROUND(H5*(1-I5),2),IF(ISERROR(ROUND(L5*K5,2)),0,ROUND(L5*K5,2)))</f>
        <v>94208.73</v>
      </c>
      <c r="N5" s="23">
        <f t="shared" ref="N5:N11" si="2">IF(L5="无",0,H5-M5)</f>
        <v>5791.2700000000041</v>
      </c>
      <c r="S5" s="11">
        <f>K5*L5</f>
        <v>94208.73</v>
      </c>
    </row>
    <row r="6" spans="1:19" ht="18" customHeight="1" x14ac:dyDescent="0.15">
      <c r="A6" s="17">
        <v>2</v>
      </c>
      <c r="B6" s="19" t="s">
        <v>18</v>
      </c>
      <c r="C6" s="20">
        <v>40626</v>
      </c>
      <c r="D6" s="17" t="s">
        <v>16</v>
      </c>
      <c r="E6" s="21">
        <v>6</v>
      </c>
      <c r="F6" s="17" t="s">
        <v>17</v>
      </c>
      <c r="G6" s="22">
        <f t="shared" si="0"/>
        <v>13333.33</v>
      </c>
      <c r="H6" s="23">
        <v>80000</v>
      </c>
      <c r="I6" s="24">
        <v>0.05</v>
      </c>
      <c r="J6" s="25">
        <f t="shared" si="1"/>
        <v>7.9166666666666673E-3</v>
      </c>
      <c r="K6" s="23">
        <f t="shared" ref="K6:K11" si="3">IF(L6=0,0,IF(LEFT(F6,LEN(F6)-1)*12=L6,(ROUND(H6*(1-I6),2)-ROUND(ROUND(H6*J6,2)*(L6-1),2)),IF(L6="折旧期满",0,ROUND(J6*H6,2))))</f>
        <v>633.33000000000004</v>
      </c>
      <c r="L6" s="26">
        <f t="shared" ref="L6:L11" si="4">IF(MONTH($A$3)+(YEAR($A$3)-YEAR(C6))*12-MONTH(C6)&lt;0,"无",IF(MONTH($A$3)+(YEAR($A$3)-YEAR(C6))*12-MONTH(C6)&gt;12*LEFT(F6,LEN(F6)-1),"折旧期满",MONTH($A$3)+(YEAR($A$3)-YEAR(C6))*12-MONTH(C6)))</f>
        <v>119</v>
      </c>
      <c r="M6" s="23">
        <f t="shared" ref="M6:M11" si="5">IF(OR(L6="折旧期满",L6=LEFT(F6,LEN(F6)-1)*12),ROUND(H6*(1-I6),2),IF(ISERROR(ROUND(L6*K6,2)),0,ROUND(L6*K6,2)))</f>
        <v>75366.27</v>
      </c>
      <c r="N6" s="23">
        <f t="shared" si="2"/>
        <v>4633.7299999999959</v>
      </c>
      <c r="S6">
        <f>ROUND(H5*J5,2)</f>
        <v>791.67</v>
      </c>
    </row>
    <row r="7" spans="1:19" ht="18" customHeight="1" x14ac:dyDescent="0.15">
      <c r="A7" s="17">
        <v>3</v>
      </c>
      <c r="B7" s="19" t="s">
        <v>19</v>
      </c>
      <c r="C7" s="20">
        <v>40669</v>
      </c>
      <c r="D7" s="17" t="s">
        <v>16</v>
      </c>
      <c r="E7" s="21">
        <v>8</v>
      </c>
      <c r="F7" s="17" t="s">
        <v>17</v>
      </c>
      <c r="G7" s="22">
        <f t="shared" si="0"/>
        <v>7500</v>
      </c>
      <c r="H7" s="23">
        <v>60000</v>
      </c>
      <c r="I7" s="24">
        <v>0.05</v>
      </c>
      <c r="J7" s="25">
        <f t="shared" si="1"/>
        <v>7.9166666666666673E-3</v>
      </c>
      <c r="K7" s="23">
        <f t="shared" si="3"/>
        <v>475</v>
      </c>
      <c r="L7" s="26">
        <f t="shared" si="4"/>
        <v>117</v>
      </c>
      <c r="M7" s="23">
        <f t="shared" si="5"/>
        <v>55575</v>
      </c>
      <c r="N7" s="23">
        <f t="shared" si="2"/>
        <v>4425</v>
      </c>
      <c r="S7">
        <f>S6*119</f>
        <v>94208.73</v>
      </c>
    </row>
    <row r="8" spans="1:19" ht="18" customHeight="1" x14ac:dyDescent="0.15">
      <c r="A8" s="17">
        <v>4</v>
      </c>
      <c r="B8" s="19" t="s">
        <v>20</v>
      </c>
      <c r="C8" s="20">
        <v>40429</v>
      </c>
      <c r="D8" s="17" t="s">
        <v>16</v>
      </c>
      <c r="E8" s="21">
        <v>6</v>
      </c>
      <c r="F8" s="17" t="s">
        <v>17</v>
      </c>
      <c r="G8" s="22">
        <f t="shared" si="0"/>
        <v>8333.33</v>
      </c>
      <c r="H8" s="23">
        <v>50000</v>
      </c>
      <c r="I8" s="24">
        <v>0.05</v>
      </c>
      <c r="J8" s="25">
        <f t="shared" si="1"/>
        <v>7.9166666666666673E-3</v>
      </c>
      <c r="K8" s="23">
        <f t="shared" si="3"/>
        <v>0</v>
      </c>
      <c r="L8" s="26" t="str">
        <f t="shared" si="4"/>
        <v>折旧期满</v>
      </c>
      <c r="M8" s="23">
        <f t="shared" si="5"/>
        <v>47500</v>
      </c>
      <c r="N8" s="23">
        <f t="shared" si="2"/>
        <v>2500</v>
      </c>
      <c r="S8" s="12">
        <f>S7+K5</f>
        <v>95000.4</v>
      </c>
    </row>
    <row r="9" spans="1:19" ht="18" customHeight="1" x14ac:dyDescent="0.15">
      <c r="A9" s="17">
        <v>5</v>
      </c>
      <c r="B9" s="19" t="s">
        <v>21</v>
      </c>
      <c r="C9" s="20">
        <v>40395</v>
      </c>
      <c r="D9" s="17" t="s">
        <v>16</v>
      </c>
      <c r="E9" s="21">
        <v>1</v>
      </c>
      <c r="F9" s="17" t="s">
        <v>17</v>
      </c>
      <c r="G9" s="22">
        <f t="shared" si="0"/>
        <v>40000</v>
      </c>
      <c r="H9" s="23">
        <v>40000</v>
      </c>
      <c r="I9" s="24">
        <v>0.05</v>
      </c>
      <c r="J9" s="25">
        <f t="shared" si="1"/>
        <v>7.9166666666666673E-3</v>
      </c>
      <c r="K9" s="23">
        <f t="shared" si="3"/>
        <v>0</v>
      </c>
      <c r="L9" s="26" t="str">
        <f t="shared" si="4"/>
        <v>折旧期满</v>
      </c>
      <c r="M9" s="23">
        <f t="shared" si="5"/>
        <v>38000</v>
      </c>
      <c r="N9" s="23">
        <f t="shared" si="2"/>
        <v>2000</v>
      </c>
    </row>
    <row r="10" spans="1:19" ht="18" customHeight="1" x14ac:dyDescent="0.15">
      <c r="A10" s="17">
        <v>6</v>
      </c>
      <c r="B10" s="19" t="s">
        <v>22</v>
      </c>
      <c r="C10" s="20">
        <v>40003</v>
      </c>
      <c r="D10" s="17" t="s">
        <v>16</v>
      </c>
      <c r="E10" s="21">
        <v>1</v>
      </c>
      <c r="F10" s="17" t="s">
        <v>23</v>
      </c>
      <c r="G10" s="22">
        <f t="shared" si="0"/>
        <v>30000</v>
      </c>
      <c r="H10" s="23">
        <v>30000</v>
      </c>
      <c r="I10" s="24">
        <v>0.05</v>
      </c>
      <c r="J10" s="25">
        <f t="shared" si="1"/>
        <v>3.9583333333333337E-3</v>
      </c>
      <c r="K10" s="23">
        <f t="shared" si="3"/>
        <v>118.75</v>
      </c>
      <c r="L10" s="26">
        <f t="shared" si="4"/>
        <v>139</v>
      </c>
      <c r="M10" s="23">
        <f t="shared" si="5"/>
        <v>16506.25</v>
      </c>
      <c r="N10" s="23">
        <f t="shared" si="2"/>
        <v>13493.75</v>
      </c>
    </row>
    <row r="11" spans="1:19" ht="18" customHeight="1" x14ac:dyDescent="0.15">
      <c r="A11" s="17">
        <v>7</v>
      </c>
      <c r="B11" s="19" t="s">
        <v>24</v>
      </c>
      <c r="C11" s="20">
        <v>40371</v>
      </c>
      <c r="D11" s="17" t="s">
        <v>16</v>
      </c>
      <c r="E11" s="21">
        <v>2</v>
      </c>
      <c r="F11" s="17" t="s">
        <v>23</v>
      </c>
      <c r="G11" s="22">
        <f t="shared" si="0"/>
        <v>10000</v>
      </c>
      <c r="H11" s="23">
        <v>20000</v>
      </c>
      <c r="I11" s="24">
        <v>0.05</v>
      </c>
      <c r="J11" s="25">
        <f t="shared" si="1"/>
        <v>3.9583333333333337E-3</v>
      </c>
      <c r="K11" s="23">
        <f t="shared" si="3"/>
        <v>79.17</v>
      </c>
      <c r="L11" s="26">
        <f t="shared" si="4"/>
        <v>127</v>
      </c>
      <c r="M11" s="23">
        <f t="shared" si="5"/>
        <v>10054.59</v>
      </c>
      <c r="N11" s="23">
        <f t="shared" si="2"/>
        <v>9945.41</v>
      </c>
    </row>
    <row r="12" spans="1:19" ht="18" customHeight="1" x14ac:dyDescent="0.15">
      <c r="A12" s="27"/>
      <c r="B12" s="28" t="s">
        <v>25</v>
      </c>
      <c r="C12" s="29"/>
      <c r="D12" s="28"/>
      <c r="E12" s="29"/>
      <c r="F12" s="29"/>
      <c r="G12" s="30"/>
      <c r="H12" s="31">
        <f t="shared" ref="H12:N12" si="6">SUM(H5:H11)</f>
        <v>380000</v>
      </c>
      <c r="I12" s="31"/>
      <c r="J12" s="31"/>
      <c r="K12" s="31">
        <f t="shared" si="6"/>
        <v>2097.92</v>
      </c>
      <c r="L12" s="31"/>
      <c r="M12" s="31">
        <f t="shared" si="6"/>
        <v>337210.84</v>
      </c>
      <c r="N12" s="31">
        <f t="shared" si="6"/>
        <v>42789.16</v>
      </c>
    </row>
    <row r="13" spans="1:19" ht="18" customHeight="1" x14ac:dyDescent="0.15">
      <c r="A13" s="4"/>
      <c r="B13" s="5"/>
      <c r="C13" s="6"/>
      <c r="D13" s="5"/>
      <c r="E13" s="6"/>
      <c r="F13" s="6"/>
      <c r="G13" s="7"/>
      <c r="H13" s="8"/>
      <c r="I13" s="8"/>
      <c r="J13" s="6"/>
      <c r="K13" s="9"/>
      <c r="L13" s="10"/>
      <c r="M13" s="9"/>
      <c r="N13" s="8"/>
    </row>
    <row r="14" spans="1:19" ht="18" customHeight="1" x14ac:dyDescent="0.15">
      <c r="A14" s="15" t="s">
        <v>26</v>
      </c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6" t="s">
        <v>7</v>
      </c>
      <c r="H14" s="15" t="s">
        <v>8</v>
      </c>
      <c r="I14" s="15" t="s">
        <v>9</v>
      </c>
      <c r="J14" s="17" t="s">
        <v>10</v>
      </c>
      <c r="K14" s="17" t="s">
        <v>11</v>
      </c>
      <c r="L14" s="18" t="s">
        <v>12</v>
      </c>
      <c r="M14" s="17" t="s">
        <v>13</v>
      </c>
      <c r="N14" s="17" t="s">
        <v>14</v>
      </c>
    </row>
    <row r="15" spans="1:19" ht="18" customHeight="1" x14ac:dyDescent="0.15">
      <c r="A15" s="17">
        <v>1</v>
      </c>
      <c r="B15" s="19" t="s">
        <v>27</v>
      </c>
      <c r="C15" s="20">
        <v>44227</v>
      </c>
      <c r="D15" s="17" t="s">
        <v>16</v>
      </c>
      <c r="E15" s="21">
        <v>2</v>
      </c>
      <c r="F15" s="17" t="s">
        <v>28</v>
      </c>
      <c r="G15" s="22">
        <f t="shared" ref="G15:G18" si="7">ROUND(H15/E15,2)</f>
        <v>5000</v>
      </c>
      <c r="H15" s="23">
        <v>10000</v>
      </c>
      <c r="I15" s="24">
        <v>0.05</v>
      </c>
      <c r="J15" s="25">
        <f t="shared" ref="J15:J20" si="8">(1-I15)/LEFT(F15,1)/12</f>
        <v>1.5833333333333335E-2</v>
      </c>
      <c r="K15" s="23">
        <f t="shared" ref="K15:K20" si="9">IF(L15=0,0,IF(LEFT(F15,LEN(F15)-1)*12=L15,(ROUND(H15*(1-I15),2)-ROUND(ROUND(H15*J15,2)*(L15-1),2)),IF(L15="折旧期满",0,ROUND(J15*H15,2))))</f>
        <v>158.33000000000001</v>
      </c>
      <c r="L15" s="26">
        <f t="shared" ref="L15:L20" si="10">IF(MONTH($A$3)+(YEAR($A$3)-YEAR(C15))*12-MONTH(C15)&lt;0,"无",IF(MONTH($A$3)+(YEAR($A$3)-YEAR(C15))*12-MONTH(C15)&gt;12*LEFT(F15,LEN(F15)-1),"折旧期满",MONTH($A$3)+(YEAR($A$3)-YEAR(C15))*12-MONTH(C15)))</f>
        <v>1</v>
      </c>
      <c r="M15" s="23">
        <f t="shared" ref="M15:M20" si="11">IF(OR(L15="折旧期满",L15=LEFT(F15,LEN(F15)-1)*12),ROUND(H15*(1-I15),2),IF(ISERROR(ROUND(L15*K15,2)),0,ROUND(L15*K15,2)))</f>
        <v>158.33000000000001</v>
      </c>
      <c r="N15" s="23">
        <f t="shared" ref="N15:N20" si="12">IF(L15="无",0,H15-M15)</f>
        <v>9841.67</v>
      </c>
    </row>
    <row r="16" spans="1:19" ht="18" customHeight="1" x14ac:dyDescent="0.15">
      <c r="A16" s="17">
        <v>2</v>
      </c>
      <c r="B16" s="19" t="s">
        <v>29</v>
      </c>
      <c r="C16" s="20">
        <v>44255</v>
      </c>
      <c r="D16" s="17" t="s">
        <v>30</v>
      </c>
      <c r="E16" s="21">
        <v>1</v>
      </c>
      <c r="F16" s="17" t="s">
        <v>28</v>
      </c>
      <c r="G16" s="22">
        <v>2214.34</v>
      </c>
      <c r="H16" s="23">
        <v>9000</v>
      </c>
      <c r="I16" s="24">
        <v>0.05</v>
      </c>
      <c r="J16" s="25">
        <f t="shared" si="8"/>
        <v>1.5833333333333335E-2</v>
      </c>
      <c r="K16" s="23">
        <f t="shared" si="9"/>
        <v>0</v>
      </c>
      <c r="L16" s="26">
        <f t="shared" si="10"/>
        <v>0</v>
      </c>
      <c r="M16" s="23">
        <f t="shared" si="11"/>
        <v>0</v>
      </c>
      <c r="N16" s="23">
        <f t="shared" si="12"/>
        <v>9000</v>
      </c>
    </row>
    <row r="17" spans="1:14" ht="18" customHeight="1" x14ac:dyDescent="0.15">
      <c r="A17" s="17">
        <v>3</v>
      </c>
      <c r="B17" s="19" t="s">
        <v>31</v>
      </c>
      <c r="C17" s="20">
        <v>43921</v>
      </c>
      <c r="D17" s="17" t="s">
        <v>16</v>
      </c>
      <c r="E17" s="21">
        <v>1</v>
      </c>
      <c r="F17" s="17" t="s">
        <v>28</v>
      </c>
      <c r="G17" s="22">
        <f t="shared" si="7"/>
        <v>8000</v>
      </c>
      <c r="H17" s="23">
        <v>8000</v>
      </c>
      <c r="I17" s="24">
        <v>0.05</v>
      </c>
      <c r="J17" s="25">
        <f t="shared" si="8"/>
        <v>1.5833333333333335E-2</v>
      </c>
      <c r="K17" s="23">
        <f t="shared" si="9"/>
        <v>126.67</v>
      </c>
      <c r="L17" s="26">
        <f t="shared" si="10"/>
        <v>11</v>
      </c>
      <c r="M17" s="23">
        <f t="shared" si="11"/>
        <v>1393.37</v>
      </c>
      <c r="N17" s="23">
        <f t="shared" si="12"/>
        <v>6606.63</v>
      </c>
    </row>
    <row r="18" spans="1:14" ht="18" customHeight="1" x14ac:dyDescent="0.15">
      <c r="A18" s="17">
        <v>4</v>
      </c>
      <c r="B18" s="19" t="s">
        <v>32</v>
      </c>
      <c r="C18" s="20">
        <v>42521</v>
      </c>
      <c r="D18" s="17" t="s">
        <v>16</v>
      </c>
      <c r="E18" s="21">
        <v>1</v>
      </c>
      <c r="F18" s="17" t="s">
        <v>28</v>
      </c>
      <c r="G18" s="22">
        <f t="shared" si="7"/>
        <v>3000</v>
      </c>
      <c r="H18" s="23">
        <v>3000</v>
      </c>
      <c r="I18" s="24">
        <v>0.05</v>
      </c>
      <c r="J18" s="25">
        <f t="shared" si="8"/>
        <v>1.5833333333333335E-2</v>
      </c>
      <c r="K18" s="23">
        <f t="shared" si="9"/>
        <v>47.5</v>
      </c>
      <c r="L18" s="26">
        <f t="shared" si="10"/>
        <v>57</v>
      </c>
      <c r="M18" s="23">
        <f t="shared" si="11"/>
        <v>2707.5</v>
      </c>
      <c r="N18" s="23">
        <f t="shared" si="12"/>
        <v>292.5</v>
      </c>
    </row>
    <row r="19" spans="1:14" ht="18" customHeight="1" x14ac:dyDescent="0.15">
      <c r="A19" s="17">
        <v>5</v>
      </c>
      <c r="B19" s="19" t="s">
        <v>33</v>
      </c>
      <c r="C19" s="20">
        <v>42414</v>
      </c>
      <c r="D19" s="17" t="s">
        <v>16</v>
      </c>
      <c r="E19" s="21">
        <v>1</v>
      </c>
      <c r="F19" s="17" t="s">
        <v>28</v>
      </c>
      <c r="G19" s="22">
        <v>7260</v>
      </c>
      <c r="H19" s="23">
        <v>800</v>
      </c>
      <c r="I19" s="24">
        <v>0.05</v>
      </c>
      <c r="J19" s="25">
        <f t="shared" si="8"/>
        <v>1.5833333333333335E-2</v>
      </c>
      <c r="K19" s="23">
        <f t="shared" si="9"/>
        <v>12.470000000000027</v>
      </c>
      <c r="L19" s="26">
        <f t="shared" si="10"/>
        <v>60</v>
      </c>
      <c r="M19" s="23">
        <f t="shared" si="11"/>
        <v>760</v>
      </c>
      <c r="N19" s="23">
        <f t="shared" si="12"/>
        <v>40</v>
      </c>
    </row>
    <row r="20" spans="1:14" ht="18" customHeight="1" x14ac:dyDescent="0.15">
      <c r="A20" s="17">
        <v>6</v>
      </c>
      <c r="B20" s="19" t="s">
        <v>34</v>
      </c>
      <c r="C20" s="20">
        <v>42383</v>
      </c>
      <c r="D20" s="17" t="s">
        <v>16</v>
      </c>
      <c r="E20" s="21">
        <v>1</v>
      </c>
      <c r="F20" s="17" t="s">
        <v>28</v>
      </c>
      <c r="G20" s="22">
        <v>1210.26</v>
      </c>
      <c r="H20" s="23">
        <f>G20</f>
        <v>1210.26</v>
      </c>
      <c r="I20" s="24">
        <v>0.05</v>
      </c>
      <c r="J20" s="25">
        <f t="shared" si="8"/>
        <v>1.5833333333333335E-2</v>
      </c>
      <c r="K20" s="23">
        <f t="shared" si="9"/>
        <v>0</v>
      </c>
      <c r="L20" s="26" t="str">
        <f t="shared" si="10"/>
        <v>折旧期满</v>
      </c>
      <c r="M20" s="23">
        <f t="shared" si="11"/>
        <v>1149.75</v>
      </c>
      <c r="N20" s="23">
        <f t="shared" si="12"/>
        <v>60.509999999999991</v>
      </c>
    </row>
    <row r="21" spans="1:14" ht="18" customHeight="1" x14ac:dyDescent="0.15">
      <c r="A21" s="27"/>
      <c r="B21" s="28" t="s">
        <v>25</v>
      </c>
      <c r="C21" s="29"/>
      <c r="D21" s="28"/>
      <c r="E21" s="29"/>
      <c r="F21" s="29"/>
      <c r="G21" s="30"/>
      <c r="H21" s="31">
        <f t="shared" ref="H21:N21" si="13">SUM(H15:H20)</f>
        <v>32010.26</v>
      </c>
      <c r="I21" s="31"/>
      <c r="J21" s="31"/>
      <c r="K21" s="31">
        <f t="shared" si="13"/>
        <v>344.97</v>
      </c>
      <c r="L21" s="31"/>
      <c r="M21" s="31">
        <f t="shared" si="13"/>
        <v>6168.95</v>
      </c>
      <c r="N21" s="31">
        <f t="shared" si="13"/>
        <v>25841.309999999998</v>
      </c>
    </row>
    <row r="22" spans="1:14" ht="18" customHeight="1" x14ac:dyDescent="0.15">
      <c r="A22" s="32" t="s">
        <v>35</v>
      </c>
      <c r="B22" s="32"/>
      <c r="C22" s="33"/>
      <c r="D22" s="34"/>
      <c r="E22" s="33"/>
      <c r="F22" s="33"/>
      <c r="G22" s="35"/>
      <c r="H22" s="36">
        <f t="shared" ref="H22:N22" si="14">H21+H12</f>
        <v>412010.26</v>
      </c>
      <c r="I22" s="36"/>
      <c r="J22" s="36"/>
      <c r="K22" s="36">
        <f t="shared" si="14"/>
        <v>2442.8900000000003</v>
      </c>
      <c r="L22" s="36"/>
      <c r="M22" s="36">
        <f t="shared" si="14"/>
        <v>343379.79000000004</v>
      </c>
      <c r="N22" s="36">
        <f t="shared" si="14"/>
        <v>68630.47</v>
      </c>
    </row>
    <row r="23" spans="1:14" ht="15.95" customHeight="1" x14ac:dyDescent="0.15">
      <c r="A23" s="37"/>
      <c r="B23" s="37"/>
      <c r="C23" s="37"/>
      <c r="D23" s="37"/>
      <c r="E23" s="37"/>
      <c r="F23" s="37"/>
      <c r="G23" s="38"/>
      <c r="H23" s="37"/>
      <c r="I23" s="37"/>
      <c r="J23" s="37"/>
      <c r="K23" s="37"/>
      <c r="L23" s="39"/>
      <c r="M23" s="37"/>
      <c r="N23" s="37" t="s">
        <v>36</v>
      </c>
    </row>
    <row r="24" spans="1:14" ht="15.95" customHeight="1" x14ac:dyDescent="0.15">
      <c r="A24" s="37"/>
      <c r="B24" s="40" t="s">
        <v>37</v>
      </c>
      <c r="C24" s="37"/>
      <c r="D24" s="37"/>
      <c r="E24" s="37"/>
      <c r="F24" s="37"/>
      <c r="G24" s="38"/>
      <c r="H24" s="37"/>
      <c r="I24" s="37"/>
      <c r="J24" s="37"/>
      <c r="K24" s="37"/>
      <c r="L24" s="41"/>
      <c r="M24" s="42" t="s">
        <v>39</v>
      </c>
      <c r="N24" s="37"/>
    </row>
  </sheetData>
  <mergeCells count="4">
    <mergeCell ref="A1:N1"/>
    <mergeCell ref="A2:N2"/>
    <mergeCell ref="A3:N3"/>
    <mergeCell ref="A22:B22"/>
  </mergeCells>
  <phoneticPr fontId="5" type="noConversion"/>
  <pageMargins left="0.2" right="0.16" top="0.38" bottom="0.34" header="0.16" footer="0.21"/>
  <pageSetup paperSize="9" orientation="landscape"/>
  <headerFooter scaleWithDoc="0"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24"/>
  <sheetViews>
    <sheetView workbookViewId="0">
      <selection activeCell="L29" sqref="L29"/>
    </sheetView>
  </sheetViews>
  <sheetFormatPr defaultColWidth="8.75" defaultRowHeight="14.25" x14ac:dyDescent="0.15"/>
  <cols>
    <col min="1" max="1" width="7.75" customWidth="1"/>
    <col min="2" max="2" width="16" customWidth="1"/>
    <col min="3" max="3" width="9.25" customWidth="1"/>
    <col min="4" max="4" width="5.625" customWidth="1"/>
    <col min="5" max="5" width="5.75" customWidth="1"/>
    <col min="6" max="6" width="8.625" customWidth="1"/>
    <col min="7" max="7" width="10.75" style="2" customWidth="1"/>
    <col min="8" max="8" width="13.75" customWidth="1"/>
    <col min="9" max="9" width="5.75" customWidth="1"/>
    <col min="10" max="10" width="7.375" customWidth="1"/>
    <col min="11" max="11" width="15.375" customWidth="1"/>
    <col min="12" max="12" width="10" style="3" customWidth="1"/>
    <col min="13" max="13" width="18.5" customWidth="1"/>
    <col min="14" max="14" width="13.625" customWidth="1"/>
    <col min="19" max="19" width="13.25" customWidth="1"/>
  </cols>
  <sheetData>
    <row r="1" spans="1:19" s="1" customFormat="1" ht="18" customHeight="1" x14ac:dyDescent="0.1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9" s="1" customFormat="1" ht="18" customHeight="1" x14ac:dyDescent="0.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9" s="1" customFormat="1" ht="18" customHeight="1" x14ac:dyDescent="0.15">
      <c r="A3" s="14">
        <v>44256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9" ht="18" customHeight="1" x14ac:dyDescent="0.1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5" t="s">
        <v>8</v>
      </c>
      <c r="I4" s="15" t="s">
        <v>9</v>
      </c>
      <c r="J4" s="17" t="s">
        <v>10</v>
      </c>
      <c r="K4" s="17" t="s">
        <v>11</v>
      </c>
      <c r="L4" s="18" t="s">
        <v>12</v>
      </c>
      <c r="M4" s="17" t="s">
        <v>13</v>
      </c>
      <c r="N4" s="17" t="s">
        <v>14</v>
      </c>
    </row>
    <row r="5" spans="1:19" ht="18" customHeight="1" x14ac:dyDescent="0.15">
      <c r="A5" s="17">
        <v>1</v>
      </c>
      <c r="B5" s="19" t="s">
        <v>15</v>
      </c>
      <c r="C5" s="20">
        <v>40614</v>
      </c>
      <c r="D5" s="17" t="s">
        <v>16</v>
      </c>
      <c r="E5" s="21">
        <v>1</v>
      </c>
      <c r="F5" s="17" t="s">
        <v>17</v>
      </c>
      <c r="G5" s="22">
        <f t="shared" ref="G5:G11" si="0">ROUND(H5/E5,2)</f>
        <v>100000</v>
      </c>
      <c r="H5" s="23">
        <v>100000</v>
      </c>
      <c r="I5" s="24">
        <v>0.05</v>
      </c>
      <c r="J5" s="25">
        <f t="shared" ref="J5:J11" si="1">(1-I5)/LEFT(F5,LEN(F5)-1)/12</f>
        <v>7.9166666666666673E-3</v>
      </c>
      <c r="K5" s="23">
        <f t="shared" ref="K5:K11" si="2">IF(L5=0,0,IF(LEFT(F5,LEN(F5)-1)*12=L5,(ROUND(H5*(1-I5),2)-ROUND(ROUND(H5*J5,2)*(L5-1),2)),IF(L5="折旧期满",0,ROUND(J5*H5,2))))</f>
        <v>791.27000000000407</v>
      </c>
      <c r="L5" s="26">
        <f t="shared" ref="L5:L11" si="3">IF(MONTH($A$3)+(YEAR($A$3)-YEAR(C5))*12-MONTH(C5)&lt;0,"无",IF(MONTH($A$3)+(YEAR($A$3)-YEAR(C5))*12-MONTH(C5)&gt;12*LEFT(F5,LEN(F5)-1),"折旧期满",MONTH($A$3)+(YEAR($A$3)-YEAR(C5))*12-MONTH(C5)))</f>
        <v>120</v>
      </c>
      <c r="M5" s="23">
        <f t="shared" ref="M5:M11" si="4">IF(OR(L5="折旧期满",L5=LEFT(F5,LEN(F5)-1)*12),ROUND(H5*(1-I5),2),IF(ISERROR(ROUND(L5*K5,2)),0,ROUND(L5*K5,2)))</f>
        <v>95000</v>
      </c>
      <c r="N5" s="23">
        <f t="shared" ref="N5:N11" si="5">IF(L5="无",0,H5-M5)</f>
        <v>5000</v>
      </c>
      <c r="S5" s="11">
        <f>K5*L5</f>
        <v>94952.400000000489</v>
      </c>
    </row>
    <row r="6" spans="1:19" ht="18" customHeight="1" x14ac:dyDescent="0.15">
      <c r="A6" s="17">
        <v>2</v>
      </c>
      <c r="B6" s="19" t="s">
        <v>18</v>
      </c>
      <c r="C6" s="20">
        <v>40626</v>
      </c>
      <c r="D6" s="17" t="s">
        <v>16</v>
      </c>
      <c r="E6" s="21">
        <v>6</v>
      </c>
      <c r="F6" s="17" t="s">
        <v>17</v>
      </c>
      <c r="G6" s="22">
        <f t="shared" si="0"/>
        <v>13333.33</v>
      </c>
      <c r="H6" s="23">
        <v>80000</v>
      </c>
      <c r="I6" s="24">
        <v>0.05</v>
      </c>
      <c r="J6" s="25">
        <f t="shared" si="1"/>
        <v>7.9166666666666673E-3</v>
      </c>
      <c r="K6" s="23">
        <f t="shared" si="2"/>
        <v>633.72999999999593</v>
      </c>
      <c r="L6" s="26">
        <f t="shared" si="3"/>
        <v>120</v>
      </c>
      <c r="M6" s="23">
        <f t="shared" si="4"/>
        <v>76000</v>
      </c>
      <c r="N6" s="23">
        <f t="shared" si="5"/>
        <v>4000</v>
      </c>
      <c r="S6">
        <f>ROUND(H5*J5,2)</f>
        <v>791.67</v>
      </c>
    </row>
    <row r="7" spans="1:19" ht="18" customHeight="1" x14ac:dyDescent="0.15">
      <c r="A7" s="17">
        <v>3</v>
      </c>
      <c r="B7" s="19" t="s">
        <v>19</v>
      </c>
      <c r="C7" s="20">
        <v>40669</v>
      </c>
      <c r="D7" s="17" t="s">
        <v>16</v>
      </c>
      <c r="E7" s="21">
        <v>8</v>
      </c>
      <c r="F7" s="17" t="s">
        <v>17</v>
      </c>
      <c r="G7" s="22">
        <f t="shared" si="0"/>
        <v>7500</v>
      </c>
      <c r="H7" s="23">
        <v>60000</v>
      </c>
      <c r="I7" s="24">
        <v>0.05</v>
      </c>
      <c r="J7" s="25">
        <f t="shared" si="1"/>
        <v>7.9166666666666673E-3</v>
      </c>
      <c r="K7" s="23">
        <f t="shared" si="2"/>
        <v>475</v>
      </c>
      <c r="L7" s="26">
        <f t="shared" si="3"/>
        <v>118</v>
      </c>
      <c r="M7" s="23">
        <f t="shared" si="4"/>
        <v>56050</v>
      </c>
      <c r="N7" s="23">
        <f t="shared" si="5"/>
        <v>3950</v>
      </c>
      <c r="S7">
        <f>S6*119</f>
        <v>94208.73</v>
      </c>
    </row>
    <row r="8" spans="1:19" ht="18" customHeight="1" x14ac:dyDescent="0.15">
      <c r="A8" s="17">
        <v>4</v>
      </c>
      <c r="B8" s="19" t="s">
        <v>20</v>
      </c>
      <c r="C8" s="20">
        <v>40429</v>
      </c>
      <c r="D8" s="17" t="s">
        <v>16</v>
      </c>
      <c r="E8" s="21">
        <v>6</v>
      </c>
      <c r="F8" s="17" t="s">
        <v>17</v>
      </c>
      <c r="G8" s="22">
        <f t="shared" si="0"/>
        <v>8333.33</v>
      </c>
      <c r="H8" s="23">
        <v>50000</v>
      </c>
      <c r="I8" s="24">
        <v>0.05</v>
      </c>
      <c r="J8" s="25">
        <f t="shared" si="1"/>
        <v>7.9166666666666673E-3</v>
      </c>
      <c r="K8" s="23">
        <f t="shared" si="2"/>
        <v>0</v>
      </c>
      <c r="L8" s="26" t="str">
        <f t="shared" si="3"/>
        <v>折旧期满</v>
      </c>
      <c r="M8" s="23">
        <f t="shared" si="4"/>
        <v>47500</v>
      </c>
      <c r="N8" s="23">
        <f t="shared" si="5"/>
        <v>2500</v>
      </c>
      <c r="S8" s="12">
        <f>S7+K5</f>
        <v>95000</v>
      </c>
    </row>
    <row r="9" spans="1:19" ht="18" customHeight="1" x14ac:dyDescent="0.15">
      <c r="A9" s="17">
        <v>5</v>
      </c>
      <c r="B9" s="19" t="s">
        <v>21</v>
      </c>
      <c r="C9" s="20">
        <v>40395</v>
      </c>
      <c r="D9" s="17" t="s">
        <v>16</v>
      </c>
      <c r="E9" s="21">
        <v>1</v>
      </c>
      <c r="F9" s="17" t="s">
        <v>17</v>
      </c>
      <c r="G9" s="22">
        <f t="shared" si="0"/>
        <v>40000</v>
      </c>
      <c r="H9" s="23">
        <v>40000</v>
      </c>
      <c r="I9" s="24">
        <v>0.05</v>
      </c>
      <c r="J9" s="25">
        <f t="shared" si="1"/>
        <v>7.9166666666666673E-3</v>
      </c>
      <c r="K9" s="23">
        <f t="shared" si="2"/>
        <v>0</v>
      </c>
      <c r="L9" s="26" t="str">
        <f t="shared" si="3"/>
        <v>折旧期满</v>
      </c>
      <c r="M9" s="23">
        <f t="shared" si="4"/>
        <v>38000</v>
      </c>
      <c r="N9" s="23">
        <f t="shared" si="5"/>
        <v>2000</v>
      </c>
    </row>
    <row r="10" spans="1:19" ht="18" customHeight="1" x14ac:dyDescent="0.15">
      <c r="A10" s="17">
        <v>6</v>
      </c>
      <c r="B10" s="19" t="s">
        <v>22</v>
      </c>
      <c r="C10" s="20">
        <v>40003</v>
      </c>
      <c r="D10" s="17" t="s">
        <v>16</v>
      </c>
      <c r="E10" s="21">
        <v>1</v>
      </c>
      <c r="F10" s="17" t="s">
        <v>23</v>
      </c>
      <c r="G10" s="22">
        <f t="shared" si="0"/>
        <v>30000</v>
      </c>
      <c r="H10" s="23">
        <v>30000</v>
      </c>
      <c r="I10" s="24">
        <v>0.05</v>
      </c>
      <c r="J10" s="25">
        <f t="shared" si="1"/>
        <v>3.9583333333333337E-3</v>
      </c>
      <c r="K10" s="23">
        <f t="shared" si="2"/>
        <v>118.75</v>
      </c>
      <c r="L10" s="26">
        <f t="shared" si="3"/>
        <v>140</v>
      </c>
      <c r="M10" s="23">
        <f t="shared" si="4"/>
        <v>16625</v>
      </c>
      <c r="N10" s="23">
        <f t="shared" si="5"/>
        <v>13375</v>
      </c>
    </row>
    <row r="11" spans="1:19" ht="18" customHeight="1" x14ac:dyDescent="0.15">
      <c r="A11" s="17">
        <v>7</v>
      </c>
      <c r="B11" s="19" t="s">
        <v>24</v>
      </c>
      <c r="C11" s="20">
        <v>40371</v>
      </c>
      <c r="D11" s="17" t="s">
        <v>16</v>
      </c>
      <c r="E11" s="21">
        <v>2</v>
      </c>
      <c r="F11" s="17" t="s">
        <v>23</v>
      </c>
      <c r="G11" s="22">
        <f t="shared" si="0"/>
        <v>10000</v>
      </c>
      <c r="H11" s="23">
        <v>20000</v>
      </c>
      <c r="I11" s="24">
        <v>0.05</v>
      </c>
      <c r="J11" s="25">
        <f t="shared" si="1"/>
        <v>3.9583333333333337E-3</v>
      </c>
      <c r="K11" s="23">
        <f t="shared" si="2"/>
        <v>79.17</v>
      </c>
      <c r="L11" s="26">
        <f t="shared" si="3"/>
        <v>128</v>
      </c>
      <c r="M11" s="23">
        <f t="shared" si="4"/>
        <v>10133.76</v>
      </c>
      <c r="N11" s="23">
        <f t="shared" si="5"/>
        <v>9866.24</v>
      </c>
    </row>
    <row r="12" spans="1:19" ht="18" customHeight="1" x14ac:dyDescent="0.15">
      <c r="A12" s="27"/>
      <c r="B12" s="28" t="s">
        <v>25</v>
      </c>
      <c r="C12" s="29"/>
      <c r="D12" s="28"/>
      <c r="E12" s="29"/>
      <c r="F12" s="29"/>
      <c r="G12" s="30"/>
      <c r="H12" s="31">
        <f t="shared" ref="H12:N12" si="6">SUM(H5:H11)</f>
        <v>380000</v>
      </c>
      <c r="I12" s="31"/>
      <c r="J12" s="31"/>
      <c r="K12" s="31">
        <f t="shared" si="6"/>
        <v>2097.92</v>
      </c>
      <c r="L12" s="31"/>
      <c r="M12" s="31">
        <f t="shared" si="6"/>
        <v>339308.76</v>
      </c>
      <c r="N12" s="31">
        <f t="shared" si="6"/>
        <v>40691.24</v>
      </c>
    </row>
    <row r="13" spans="1:19" ht="18" customHeight="1" x14ac:dyDescent="0.15">
      <c r="A13" s="4"/>
      <c r="B13" s="5"/>
      <c r="C13" s="6"/>
      <c r="D13" s="5"/>
      <c r="E13" s="6"/>
      <c r="F13" s="6"/>
      <c r="G13" s="7"/>
      <c r="H13" s="8"/>
      <c r="I13" s="8"/>
      <c r="J13" s="6"/>
      <c r="K13" s="9"/>
      <c r="L13" s="10"/>
      <c r="M13" s="9"/>
      <c r="N13" s="8"/>
    </row>
    <row r="14" spans="1:19" ht="18" customHeight="1" x14ac:dyDescent="0.15">
      <c r="A14" s="15" t="s">
        <v>26</v>
      </c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6" t="s">
        <v>7</v>
      </c>
      <c r="H14" s="15" t="s">
        <v>8</v>
      </c>
      <c r="I14" s="15" t="s">
        <v>9</v>
      </c>
      <c r="J14" s="17" t="s">
        <v>10</v>
      </c>
      <c r="K14" s="17" t="s">
        <v>11</v>
      </c>
      <c r="L14" s="18" t="s">
        <v>12</v>
      </c>
      <c r="M14" s="17" t="s">
        <v>13</v>
      </c>
      <c r="N14" s="17" t="s">
        <v>14</v>
      </c>
    </row>
    <row r="15" spans="1:19" ht="18" customHeight="1" x14ac:dyDescent="0.15">
      <c r="A15" s="17">
        <v>1</v>
      </c>
      <c r="B15" s="19" t="s">
        <v>27</v>
      </c>
      <c r="C15" s="20">
        <v>44227</v>
      </c>
      <c r="D15" s="17" t="s">
        <v>16</v>
      </c>
      <c r="E15" s="21">
        <v>2</v>
      </c>
      <c r="F15" s="17" t="s">
        <v>28</v>
      </c>
      <c r="G15" s="22">
        <f t="shared" ref="G15:G18" si="7">ROUND(H15/E15,2)</f>
        <v>5000</v>
      </c>
      <c r="H15" s="23">
        <v>10000</v>
      </c>
      <c r="I15" s="24">
        <v>0.05</v>
      </c>
      <c r="J15" s="25">
        <f t="shared" ref="J15:J20" si="8">(1-I15)/LEFT(F15,1)/12</f>
        <v>1.5833333333333335E-2</v>
      </c>
      <c r="K15" s="23">
        <f t="shared" ref="K15:K20" si="9">IF(L15=0,0,IF(LEFT(F15,LEN(F15)-1)*12=L15,(ROUND(H15*(1-I15),2)-ROUND(ROUND(H15*J15,2)*(L15-1),2)),IF(L15="折旧期满",0,ROUND(J15*H15,2))))</f>
        <v>158.33000000000001</v>
      </c>
      <c r="L15" s="26">
        <f t="shared" ref="L15:L20" si="10">IF(MONTH($A$3)+(YEAR($A$3)-YEAR(C15))*12-MONTH(C15)&lt;0,"无",IF(MONTH($A$3)+(YEAR($A$3)-YEAR(C15))*12-MONTH(C15)&gt;12*LEFT(F15,LEN(F15)-1),"折旧期满",MONTH($A$3)+(YEAR($A$3)-YEAR(C15))*12-MONTH(C15)))</f>
        <v>2</v>
      </c>
      <c r="M15" s="23">
        <f t="shared" ref="M15:M20" si="11">IF(OR(L15="折旧期满",L15=LEFT(F15,LEN(F15)-1)*12),ROUND(H15*(1-I15),2),IF(ISERROR(ROUND(L15*K15,2)),0,ROUND(L15*K15,2)))</f>
        <v>316.66000000000003</v>
      </c>
      <c r="N15" s="23">
        <f t="shared" ref="N15:N20" si="12">IF(L15="无",0,H15-M15)</f>
        <v>9683.34</v>
      </c>
    </row>
    <row r="16" spans="1:19" ht="18" customHeight="1" x14ac:dyDescent="0.15">
      <c r="A16" s="17">
        <v>2</v>
      </c>
      <c r="B16" s="19" t="s">
        <v>29</v>
      </c>
      <c r="C16" s="20">
        <v>44255</v>
      </c>
      <c r="D16" s="17" t="s">
        <v>30</v>
      </c>
      <c r="E16" s="21">
        <v>1</v>
      </c>
      <c r="F16" s="17" t="s">
        <v>28</v>
      </c>
      <c r="G16" s="22">
        <v>2214.34</v>
      </c>
      <c r="H16" s="23">
        <v>9000</v>
      </c>
      <c r="I16" s="24">
        <v>0.05</v>
      </c>
      <c r="J16" s="25">
        <f t="shared" si="8"/>
        <v>1.5833333333333335E-2</v>
      </c>
      <c r="K16" s="23">
        <f t="shared" si="9"/>
        <v>142.5</v>
      </c>
      <c r="L16" s="26">
        <f t="shared" si="10"/>
        <v>1</v>
      </c>
      <c r="M16" s="23">
        <f t="shared" si="11"/>
        <v>142.5</v>
      </c>
      <c r="N16" s="23">
        <f t="shared" si="12"/>
        <v>8857.5</v>
      </c>
    </row>
    <row r="17" spans="1:14" ht="18" customHeight="1" x14ac:dyDescent="0.15">
      <c r="A17" s="17">
        <v>3</v>
      </c>
      <c r="B17" s="19" t="s">
        <v>31</v>
      </c>
      <c r="C17" s="20">
        <v>43921</v>
      </c>
      <c r="D17" s="17" t="s">
        <v>16</v>
      </c>
      <c r="E17" s="21">
        <v>1</v>
      </c>
      <c r="F17" s="17" t="s">
        <v>28</v>
      </c>
      <c r="G17" s="22">
        <f t="shared" si="7"/>
        <v>8000</v>
      </c>
      <c r="H17" s="23">
        <v>8000</v>
      </c>
      <c r="I17" s="24">
        <v>0.05</v>
      </c>
      <c r="J17" s="25">
        <f t="shared" si="8"/>
        <v>1.5833333333333335E-2</v>
      </c>
      <c r="K17" s="23">
        <f t="shared" si="9"/>
        <v>126.67</v>
      </c>
      <c r="L17" s="26">
        <f t="shared" si="10"/>
        <v>12</v>
      </c>
      <c r="M17" s="23">
        <f t="shared" si="11"/>
        <v>1520.04</v>
      </c>
      <c r="N17" s="23">
        <f t="shared" si="12"/>
        <v>6479.96</v>
      </c>
    </row>
    <row r="18" spans="1:14" ht="18" customHeight="1" x14ac:dyDescent="0.15">
      <c r="A18" s="17">
        <v>4</v>
      </c>
      <c r="B18" s="19" t="s">
        <v>32</v>
      </c>
      <c r="C18" s="20">
        <v>42521</v>
      </c>
      <c r="D18" s="17" t="s">
        <v>16</v>
      </c>
      <c r="E18" s="21">
        <v>1</v>
      </c>
      <c r="F18" s="17" t="s">
        <v>28</v>
      </c>
      <c r="G18" s="22">
        <f t="shared" si="7"/>
        <v>3000</v>
      </c>
      <c r="H18" s="23">
        <v>3000</v>
      </c>
      <c r="I18" s="24">
        <v>0.05</v>
      </c>
      <c r="J18" s="25">
        <f t="shared" si="8"/>
        <v>1.5833333333333335E-2</v>
      </c>
      <c r="K18" s="23">
        <f t="shared" si="9"/>
        <v>47.5</v>
      </c>
      <c r="L18" s="26">
        <f t="shared" si="10"/>
        <v>58</v>
      </c>
      <c r="M18" s="23">
        <f t="shared" si="11"/>
        <v>2755</v>
      </c>
      <c r="N18" s="23">
        <f t="shared" si="12"/>
        <v>245</v>
      </c>
    </row>
    <row r="19" spans="1:14" ht="18" customHeight="1" x14ac:dyDescent="0.15">
      <c r="A19" s="17">
        <v>5</v>
      </c>
      <c r="B19" s="19" t="s">
        <v>33</v>
      </c>
      <c r="C19" s="20">
        <v>42414</v>
      </c>
      <c r="D19" s="17" t="s">
        <v>16</v>
      </c>
      <c r="E19" s="21">
        <v>1</v>
      </c>
      <c r="F19" s="17" t="s">
        <v>28</v>
      </c>
      <c r="G19" s="22">
        <v>7260</v>
      </c>
      <c r="H19" s="23">
        <v>800</v>
      </c>
      <c r="I19" s="24">
        <v>0.05</v>
      </c>
      <c r="J19" s="25">
        <f t="shared" si="8"/>
        <v>1.5833333333333335E-2</v>
      </c>
      <c r="K19" s="23">
        <f t="shared" si="9"/>
        <v>0</v>
      </c>
      <c r="L19" s="26" t="str">
        <f t="shared" si="10"/>
        <v>折旧期满</v>
      </c>
      <c r="M19" s="23">
        <f t="shared" si="11"/>
        <v>760</v>
      </c>
      <c r="N19" s="23">
        <f t="shared" si="12"/>
        <v>40</v>
      </c>
    </row>
    <row r="20" spans="1:14" ht="18" customHeight="1" x14ac:dyDescent="0.15">
      <c r="A20" s="17">
        <v>6</v>
      </c>
      <c r="B20" s="19" t="s">
        <v>34</v>
      </c>
      <c r="C20" s="20">
        <v>42383</v>
      </c>
      <c r="D20" s="17" t="s">
        <v>16</v>
      </c>
      <c r="E20" s="21">
        <v>1</v>
      </c>
      <c r="F20" s="17" t="s">
        <v>28</v>
      </c>
      <c r="G20" s="22">
        <v>1210.26</v>
      </c>
      <c r="H20" s="23">
        <f>G20</f>
        <v>1210.26</v>
      </c>
      <c r="I20" s="24">
        <v>0.05</v>
      </c>
      <c r="J20" s="25">
        <f t="shared" si="8"/>
        <v>1.5833333333333335E-2</v>
      </c>
      <c r="K20" s="23">
        <f t="shared" si="9"/>
        <v>0</v>
      </c>
      <c r="L20" s="26" t="str">
        <f t="shared" si="10"/>
        <v>折旧期满</v>
      </c>
      <c r="M20" s="23">
        <f t="shared" si="11"/>
        <v>1149.75</v>
      </c>
      <c r="N20" s="23">
        <f t="shared" si="12"/>
        <v>60.509999999999991</v>
      </c>
    </row>
    <row r="21" spans="1:14" ht="18" customHeight="1" x14ac:dyDescent="0.15">
      <c r="A21" s="27"/>
      <c r="B21" s="28" t="s">
        <v>25</v>
      </c>
      <c r="C21" s="29"/>
      <c r="D21" s="28"/>
      <c r="E21" s="29"/>
      <c r="F21" s="29"/>
      <c r="G21" s="30"/>
      <c r="H21" s="31">
        <f t="shared" ref="H21:N21" si="13">SUM(H15:H20)</f>
        <v>32010.26</v>
      </c>
      <c r="I21" s="31"/>
      <c r="J21" s="31"/>
      <c r="K21" s="31">
        <f t="shared" si="13"/>
        <v>475.00000000000006</v>
      </c>
      <c r="L21" s="31"/>
      <c r="M21" s="31">
        <f t="shared" si="13"/>
        <v>6643.95</v>
      </c>
      <c r="N21" s="31">
        <f t="shared" si="13"/>
        <v>25366.309999999998</v>
      </c>
    </row>
    <row r="22" spans="1:14" ht="18" customHeight="1" x14ac:dyDescent="0.15">
      <c r="A22" s="32" t="s">
        <v>35</v>
      </c>
      <c r="B22" s="32"/>
      <c r="C22" s="33"/>
      <c r="D22" s="34"/>
      <c r="E22" s="33"/>
      <c r="F22" s="33"/>
      <c r="G22" s="35"/>
      <c r="H22" s="36">
        <f t="shared" ref="H22:N22" si="14">H21+H12</f>
        <v>412010.26</v>
      </c>
      <c r="I22" s="36"/>
      <c r="J22" s="36"/>
      <c r="K22" s="36">
        <f t="shared" si="14"/>
        <v>2572.92</v>
      </c>
      <c r="L22" s="36"/>
      <c r="M22" s="36">
        <f t="shared" si="14"/>
        <v>345952.71</v>
      </c>
      <c r="N22" s="36">
        <f t="shared" si="14"/>
        <v>66057.549999999988</v>
      </c>
    </row>
    <row r="23" spans="1:14" ht="15.95" customHeight="1" x14ac:dyDescent="0.15">
      <c r="A23" s="37"/>
      <c r="B23" s="37"/>
      <c r="C23" s="37"/>
      <c r="D23" s="37"/>
      <c r="E23" s="37"/>
      <c r="F23" s="37"/>
      <c r="G23" s="38"/>
      <c r="H23" s="37"/>
      <c r="I23" s="37"/>
      <c r="J23" s="37"/>
      <c r="K23" s="37"/>
      <c r="L23" s="39"/>
      <c r="M23" s="37"/>
      <c r="N23" s="37" t="s">
        <v>36</v>
      </c>
    </row>
    <row r="24" spans="1:14" ht="15.95" customHeight="1" x14ac:dyDescent="0.15">
      <c r="A24" s="37"/>
      <c r="B24" s="40" t="s">
        <v>37</v>
      </c>
      <c r="C24" s="37"/>
      <c r="D24" s="37"/>
      <c r="E24" s="37"/>
      <c r="F24" s="37"/>
      <c r="G24" s="38"/>
      <c r="H24" s="37"/>
      <c r="I24" s="37"/>
      <c r="J24" s="37"/>
      <c r="K24" s="37"/>
      <c r="L24" s="41"/>
      <c r="M24" s="42" t="s">
        <v>39</v>
      </c>
      <c r="N24" s="37"/>
    </row>
  </sheetData>
  <mergeCells count="4">
    <mergeCell ref="A1:N1"/>
    <mergeCell ref="A2:N2"/>
    <mergeCell ref="A3:N3"/>
    <mergeCell ref="A22:B22"/>
  </mergeCells>
  <phoneticPr fontId="5" type="noConversion"/>
  <pageMargins left="0.2" right="0.16" top="0.38" bottom="0.34" header="0.16" footer="0.21"/>
  <pageSetup paperSize="9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202102</vt:lpstr>
      <vt:lpstr>202103</vt:lpstr>
      <vt:lpstr>'202102'!Print_Area</vt:lpstr>
      <vt:lpstr>'202103'!Print_Area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2010-07-09T00:57:33Z</cp:lastPrinted>
  <dcterms:created xsi:type="dcterms:W3CDTF">2007-05-24T03:36:17Z</dcterms:created>
  <dcterms:modified xsi:type="dcterms:W3CDTF">2020-05-11T01:16:13Z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